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新增成本核定表" sheetId="1" r:id="rId1"/>
  </sheets>
  <calcPr calcId="144525"/>
</workbook>
</file>

<file path=xl/sharedStrings.xml><?xml version="1.0" encoding="utf-8"?>
<sst xmlns="http://schemas.openxmlformats.org/spreadsheetml/2006/main" count="53">
  <si>
    <t>福州市自来水有限公司已投入使用未结转项目预计新增成本核定表</t>
  </si>
  <si>
    <t>单位：元</t>
  </si>
  <si>
    <t>项目</t>
  </si>
  <si>
    <t>申报数</t>
  </si>
  <si>
    <t>审核数</t>
  </si>
  <si>
    <t>核增核减数</t>
  </si>
  <si>
    <t>审核说明</t>
  </si>
  <si>
    <t>一、飞凤山水厂项目</t>
  </si>
  <si>
    <t>（一）总投资额（概算）</t>
  </si>
  <si>
    <t>榕发改审批[2014]257号</t>
  </si>
  <si>
    <t xml:space="preserve">    1、工程费用</t>
  </si>
  <si>
    <t xml:space="preserve">    2、工程建设其他费用</t>
  </si>
  <si>
    <t xml:space="preserve">      其中：征地及拆迁费用</t>
  </si>
  <si>
    <t>政府财政出资</t>
  </si>
  <si>
    <t xml:space="preserve">    3、基本预备费</t>
  </si>
  <si>
    <t xml:space="preserve">    4、建设期利息</t>
  </si>
  <si>
    <t xml:space="preserve">    5、铺底流动资金</t>
  </si>
  <si>
    <t xml:space="preserve">    预计形成固定资产</t>
  </si>
  <si>
    <t xml:space="preserve">    其中：</t>
  </si>
  <si>
    <t xml:space="preserve">      建构筑物、管网</t>
  </si>
  <si>
    <t xml:space="preserve">      设备仪器等</t>
  </si>
  <si>
    <t>（二）预计新增成本合计</t>
  </si>
  <si>
    <t xml:space="preserve">     1、折旧费用</t>
  </si>
  <si>
    <t xml:space="preserve">    其中：  建构筑物、管网</t>
  </si>
  <si>
    <t>按残值率4%，折旧年限30年计算</t>
  </si>
  <si>
    <t xml:space="preserve">           设备仪器等</t>
  </si>
  <si>
    <t>按残值率4%，折旧年限15年计算</t>
  </si>
  <si>
    <t xml:space="preserve">    2、财务费用</t>
  </si>
  <si>
    <t>按可研报告还本付息表5年平均计算。</t>
  </si>
  <si>
    <t xml:space="preserve">    3、修理费用</t>
  </si>
  <si>
    <t>按预计固定资产的1.5%计算</t>
  </si>
  <si>
    <t>（三）预计单位新增成本</t>
  </si>
  <si>
    <t>按2015年核定供水量计算</t>
  </si>
  <si>
    <t>二、东南区水厂深度处理工程项目</t>
  </si>
  <si>
    <t>（一）预计形成固定资产（总投资审核数）</t>
  </si>
  <si>
    <t xml:space="preserve">     1、第一类工程费用</t>
  </si>
  <si>
    <t>福州市财政投资评审中心《评审报告》榕财投评[2015]1559号</t>
  </si>
  <si>
    <t xml:space="preserve">     2、第二类工程费用</t>
  </si>
  <si>
    <t>福建联审工程管理有限公司闽联审结审[2016](榕）第65号</t>
  </si>
  <si>
    <t xml:space="preserve">     3、其他类工程费用（含增容、三通一平）</t>
  </si>
  <si>
    <t>闽联审结审[2016](榕）第64号、第45号</t>
  </si>
  <si>
    <t xml:space="preserve">     1、液氧</t>
  </si>
  <si>
    <t>《福州城建设计研究院福州市东南区水厂深度处理工程项目申请报告（报批稿）》</t>
  </si>
  <si>
    <t xml:space="preserve">     2、动力费</t>
  </si>
  <si>
    <t xml:space="preserve">     3、工资福利</t>
  </si>
  <si>
    <t xml:space="preserve">     4、活性碳</t>
  </si>
  <si>
    <t xml:space="preserve">     5、财务费用</t>
  </si>
  <si>
    <t xml:space="preserve">     6、折旧费用</t>
  </si>
  <si>
    <t>按残值率4%，折旧年限25年计算</t>
  </si>
  <si>
    <t xml:space="preserve">     7、修理费</t>
  </si>
  <si>
    <t xml:space="preserve">     8、管理费用</t>
  </si>
  <si>
    <t>三、预计新增成本总计</t>
  </si>
  <si>
    <t xml:space="preserve">    预计单位新增成本总计</t>
  </si>
</sst>
</file>

<file path=xl/styles.xml><?xml version="1.0" encoding="utf-8"?>
<styleSheet xmlns="http://schemas.openxmlformats.org/spreadsheetml/2006/main">
  <numFmts count="5">
    <numFmt numFmtId="176" formatCode="_ * #,##0.000_ ;_ * \-#,##0.000_ ;_ * &quot;-&quot;??.0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  <scheme val="major"/>
    </font>
    <font>
      <sz val="11"/>
      <color indexed="8"/>
      <name val="宋体"/>
      <charset val="134"/>
      <scheme val="major"/>
    </font>
    <font>
      <sz val="12"/>
      <color indexed="8"/>
      <name val="宋体"/>
      <charset val="134"/>
      <scheme val="major"/>
    </font>
    <font>
      <sz val="10"/>
      <color indexed="8"/>
      <name val="宋体"/>
      <charset val="134"/>
      <scheme val="major"/>
    </font>
    <font>
      <b/>
      <sz val="11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3" fontId="0" fillId="0" borderId="0" xfId="8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3" fillId="0" borderId="0" xfId="8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3" fontId="4" fillId="0" borderId="1" xfId="8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3" fontId="3" fillId="0" borderId="1" xfId="8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43" fontId="6" fillId="0" borderId="1" xfId="8" applyFont="1" applyBorder="1">
      <alignment vertical="center"/>
    </xf>
    <xf numFmtId="176" fontId="3" fillId="0" borderId="1" xfId="8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43" fontId="6" fillId="0" borderId="3" xfId="8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43" fontId="3" fillId="0" borderId="2" xfId="8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3" fontId="3" fillId="0" borderId="3" xfId="8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3" fontId="3" fillId="0" borderId="4" xfId="8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43" fontId="3" fillId="0" borderId="6" xfId="8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9"/>
  <sheetViews>
    <sheetView tabSelected="1" zoomScale="85" zoomScaleNormal="85" topLeftCell="A12" workbookViewId="0">
      <selection activeCell="J25" sqref="J25"/>
    </sheetView>
  </sheetViews>
  <sheetFormatPr defaultColWidth="8.875" defaultRowHeight="21.95" customHeight="1" outlineLevelCol="7"/>
  <cols>
    <col min="1" max="1" width="40.625" customWidth="1"/>
    <col min="2" max="2" width="23.75" style="1" customWidth="1"/>
    <col min="3" max="3" width="19.875" customWidth="1"/>
    <col min="4" max="4" width="20.625" customWidth="1"/>
    <col min="5" max="5" width="23" customWidth="1"/>
    <col min="6" max="7" width="12.875" hidden="1" customWidth="1"/>
    <col min="8" max="8" width="9.625" hidden="1" customWidth="1"/>
  </cols>
  <sheetData>
    <row r="1" ht="20" customHeight="1" spans="1:5">
      <c r="A1" s="2" t="s">
        <v>0</v>
      </c>
      <c r="B1" s="2"/>
      <c r="C1" s="2"/>
      <c r="D1" s="2"/>
      <c r="E1" s="2"/>
    </row>
    <row r="2" ht="20" customHeight="1" spans="1:5">
      <c r="A2" s="3"/>
      <c r="B2" s="4"/>
      <c r="C2" s="5"/>
      <c r="D2" s="5"/>
      <c r="E2" s="6" t="s">
        <v>1</v>
      </c>
    </row>
    <row r="3" ht="20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ht="20" customHeight="1" spans="1:5">
      <c r="A4" s="9" t="s">
        <v>7</v>
      </c>
      <c r="B4" s="10"/>
      <c r="C4" s="9"/>
      <c r="D4" s="9"/>
      <c r="E4" s="9"/>
    </row>
    <row r="5" ht="20" customHeight="1" spans="1:5">
      <c r="A5" s="9" t="s">
        <v>8</v>
      </c>
      <c r="B5" s="10">
        <f>B6+B7+B9+B10+B11</f>
        <v>1533802343</v>
      </c>
      <c r="C5" s="10">
        <f>C6+C7+C9+C10+C11</f>
        <v>789377663.4</v>
      </c>
      <c r="D5" s="10">
        <f>C5-B5</f>
        <v>-744424679.6</v>
      </c>
      <c r="E5" s="11" t="s">
        <v>9</v>
      </c>
    </row>
    <row r="6" ht="20" customHeight="1" spans="1:5">
      <c r="A6" s="9" t="s">
        <v>10</v>
      </c>
      <c r="B6" s="10">
        <v>665809256</v>
      </c>
      <c r="C6" s="10">
        <v>665809256</v>
      </c>
      <c r="D6" s="10">
        <f t="shared" ref="D6" si="0">C6-B6</f>
        <v>0</v>
      </c>
      <c r="E6" s="9"/>
    </row>
    <row r="7" ht="20" customHeight="1" spans="1:5">
      <c r="A7" s="9" t="s">
        <v>11</v>
      </c>
      <c r="B7" s="10">
        <v>774063737</v>
      </c>
      <c r="C7" s="10">
        <f>B7-B8</f>
        <v>65087852</v>
      </c>
      <c r="D7" s="10">
        <f t="shared" ref="D7:D20" si="1">C7-B7</f>
        <v>-708975885</v>
      </c>
      <c r="E7" s="9"/>
    </row>
    <row r="8" ht="20" customHeight="1" spans="1:5">
      <c r="A8" s="9" t="s">
        <v>12</v>
      </c>
      <c r="B8" s="10">
        <v>708975885</v>
      </c>
      <c r="C8" s="10">
        <v>0</v>
      </c>
      <c r="D8" s="10">
        <f t="shared" si="1"/>
        <v>-708975885</v>
      </c>
      <c r="E8" s="9" t="s">
        <v>13</v>
      </c>
    </row>
    <row r="9" ht="20" customHeight="1" spans="1:5">
      <c r="A9" s="9" t="s">
        <v>14</v>
      </c>
      <c r="B9" s="10">
        <v>71993650</v>
      </c>
      <c r="C9" s="10">
        <f>(C6+C7)*0.05</f>
        <v>36544855.4</v>
      </c>
      <c r="D9" s="10">
        <f t="shared" si="1"/>
        <v>-35448794.6</v>
      </c>
      <c r="E9" s="9"/>
    </row>
    <row r="10" ht="20" customHeight="1" spans="1:5">
      <c r="A10" s="9" t="s">
        <v>15</v>
      </c>
      <c r="B10" s="10">
        <v>20892000</v>
      </c>
      <c r="C10" s="10">
        <v>20892000</v>
      </c>
      <c r="D10" s="10">
        <f t="shared" si="1"/>
        <v>0</v>
      </c>
      <c r="E10" s="9"/>
    </row>
    <row r="11" ht="20" customHeight="1" spans="1:5">
      <c r="A11" s="9" t="s">
        <v>16</v>
      </c>
      <c r="B11" s="10">
        <v>1043700</v>
      </c>
      <c r="C11" s="10">
        <v>1043700</v>
      </c>
      <c r="D11" s="10">
        <f t="shared" si="1"/>
        <v>0</v>
      </c>
      <c r="E11" s="9"/>
    </row>
    <row r="12" ht="20" customHeight="1" spans="1:5">
      <c r="A12" s="9" t="s">
        <v>17</v>
      </c>
      <c r="B12" s="10">
        <v>1472395400</v>
      </c>
      <c r="C12" s="10">
        <f>B12-708975885</f>
        <v>763419515</v>
      </c>
      <c r="D12" s="10">
        <f t="shared" si="1"/>
        <v>-708975885</v>
      </c>
      <c r="E12" s="9"/>
    </row>
    <row r="13" ht="20" customHeight="1" spans="1:5">
      <c r="A13" s="9" t="s">
        <v>18</v>
      </c>
      <c r="B13" s="10"/>
      <c r="C13" s="10"/>
      <c r="D13" s="10">
        <f t="shared" si="1"/>
        <v>0</v>
      </c>
      <c r="E13" s="9"/>
    </row>
    <row r="14" ht="20" customHeight="1" spans="1:6">
      <c r="A14" s="9" t="s">
        <v>19</v>
      </c>
      <c r="B14" s="10">
        <f>B12-B15</f>
        <v>1389667391</v>
      </c>
      <c r="C14" s="10">
        <f>C12-C15</f>
        <v>680691506</v>
      </c>
      <c r="D14" s="10">
        <f t="shared" si="1"/>
        <v>-708975885</v>
      </c>
      <c r="E14" s="9"/>
      <c r="F14">
        <v>3192.32</v>
      </c>
    </row>
    <row r="15" ht="20" customHeight="1" spans="1:6">
      <c r="A15" s="9" t="s">
        <v>20</v>
      </c>
      <c r="B15" s="10">
        <v>82728009</v>
      </c>
      <c r="C15" s="10">
        <v>82728009</v>
      </c>
      <c r="D15" s="10">
        <f t="shared" si="1"/>
        <v>0</v>
      </c>
      <c r="E15" s="9"/>
      <c r="F15">
        <v>2874.57</v>
      </c>
    </row>
    <row r="16" ht="20" customHeight="1" spans="1:8">
      <c r="A16" s="12" t="s">
        <v>21</v>
      </c>
      <c r="B16" s="10">
        <f>B17+B20+B21</f>
        <v>96141292.73</v>
      </c>
      <c r="C16" s="10">
        <v>72796173.5</v>
      </c>
      <c r="D16" s="10">
        <f t="shared" si="1"/>
        <v>-23345119.23</v>
      </c>
      <c r="E16" s="13"/>
      <c r="F16">
        <v>2556.82</v>
      </c>
      <c r="G16">
        <f>SUM(F14:F16)</f>
        <v>8623.71</v>
      </c>
      <c r="H16">
        <f>G16/3</f>
        <v>2874.57</v>
      </c>
    </row>
    <row r="17" ht="20" customHeight="1" spans="1:6">
      <c r="A17" s="13" t="s">
        <v>22</v>
      </c>
      <c r="B17" s="10">
        <v>41240000</v>
      </c>
      <c r="C17" s="10">
        <f>C18+C19</f>
        <v>26441083.296</v>
      </c>
      <c r="D17" s="10">
        <f t="shared" si="1"/>
        <v>-14798916.704</v>
      </c>
      <c r="E17" s="13"/>
      <c r="F17">
        <v>2239.06</v>
      </c>
    </row>
    <row r="18" ht="32" customHeight="1" spans="1:8">
      <c r="A18" s="13" t="s">
        <v>23</v>
      </c>
      <c r="B18" s="10">
        <v>34621759.28</v>
      </c>
      <c r="C18" s="10">
        <f>C14*96%/30</f>
        <v>21782128.192</v>
      </c>
      <c r="D18" s="10">
        <f t="shared" si="1"/>
        <v>-12839631.088</v>
      </c>
      <c r="E18" s="12" t="s">
        <v>24</v>
      </c>
      <c r="F18">
        <v>1921.31</v>
      </c>
      <c r="G18">
        <f>SUM(F14:F18)</f>
        <v>12784.08</v>
      </c>
      <c r="H18">
        <f>G18/5</f>
        <v>2556.816</v>
      </c>
    </row>
    <row r="19" ht="30" customHeight="1" spans="1:6">
      <c r="A19" s="13" t="s">
        <v>25</v>
      </c>
      <c r="B19" s="10">
        <v>6618240.72</v>
      </c>
      <c r="C19" s="10">
        <f>C16*0.96/15</f>
        <v>4658955.104</v>
      </c>
      <c r="D19" s="10">
        <f t="shared" si="1"/>
        <v>-1959285.616</v>
      </c>
      <c r="E19" s="12" t="s">
        <v>26</v>
      </c>
      <c r="F19">
        <v>1603.56</v>
      </c>
    </row>
    <row r="20" ht="33" customHeight="1" spans="1:6">
      <c r="A20" s="13" t="s">
        <v>27</v>
      </c>
      <c r="B20" s="10">
        <v>43450000</v>
      </c>
      <c r="C20" s="10">
        <f>200000000*0.0435+25568160</f>
        <v>34268160</v>
      </c>
      <c r="D20" s="10">
        <f t="shared" si="1"/>
        <v>-9181840</v>
      </c>
      <c r="E20" s="12" t="s">
        <v>28</v>
      </c>
      <c r="F20">
        <v>1285.81</v>
      </c>
    </row>
    <row r="21" ht="24" customHeight="1" spans="1:6">
      <c r="A21" s="13" t="s">
        <v>29</v>
      </c>
      <c r="B21" s="10">
        <v>11451292.73</v>
      </c>
      <c r="C21" s="10">
        <f>C12*1.5%</f>
        <v>11451292.725</v>
      </c>
      <c r="D21" s="14">
        <v>0</v>
      </c>
      <c r="E21" s="12" t="s">
        <v>30</v>
      </c>
      <c r="F21">
        <v>968.06</v>
      </c>
    </row>
    <row r="22" ht="24" customHeight="1" spans="1:5">
      <c r="A22" s="13" t="s">
        <v>31</v>
      </c>
      <c r="B22" s="15">
        <f>B16/329940612</f>
        <v>0.291389690245225</v>
      </c>
      <c r="C22" s="15">
        <f>C16/329940612</f>
        <v>0.220634171279285</v>
      </c>
      <c r="D22" s="15">
        <f>D16/329940612</f>
        <v>-0.0707555189659405</v>
      </c>
      <c r="E22" s="9" t="s">
        <v>32</v>
      </c>
    </row>
    <row r="23" ht="20" customHeight="1" spans="1:6">
      <c r="A23" s="9" t="s">
        <v>33</v>
      </c>
      <c r="B23" s="10"/>
      <c r="C23" s="10"/>
      <c r="D23" s="14">
        <f t="shared" ref="D23" si="2">C23-B23</f>
        <v>0</v>
      </c>
      <c r="E23" s="16"/>
      <c r="F23">
        <v>332.55</v>
      </c>
    </row>
    <row r="24" ht="20" customHeight="1" spans="1:7">
      <c r="A24" s="17" t="s">
        <v>34</v>
      </c>
      <c r="B24" s="10">
        <f>B25+B26+B27</f>
        <v>65084784</v>
      </c>
      <c r="C24" s="10">
        <f t="shared" ref="C24:C27" si="3">B24</f>
        <v>65084784</v>
      </c>
      <c r="D24" s="18">
        <f t="shared" ref="D24:D36" si="4">C24-B24</f>
        <v>0</v>
      </c>
      <c r="E24" s="9"/>
      <c r="F24">
        <f>SUM(F14:F23)</f>
        <v>16974.06</v>
      </c>
      <c r="G24">
        <f>F24/10</f>
        <v>1697.406</v>
      </c>
    </row>
    <row r="25" ht="28" customHeight="1" spans="1:5">
      <c r="A25" s="13" t="s">
        <v>35</v>
      </c>
      <c r="B25" s="10">
        <v>58991700</v>
      </c>
      <c r="C25" s="10">
        <f t="shared" si="3"/>
        <v>58991700</v>
      </c>
      <c r="D25" s="14">
        <f t="shared" si="4"/>
        <v>0</v>
      </c>
      <c r="E25" s="19" t="s">
        <v>36</v>
      </c>
    </row>
    <row r="26" ht="27" customHeight="1" spans="1:5">
      <c r="A26" s="13" t="s">
        <v>37</v>
      </c>
      <c r="B26" s="10">
        <v>2033153</v>
      </c>
      <c r="C26" s="10">
        <f t="shared" si="3"/>
        <v>2033153</v>
      </c>
      <c r="D26" s="14">
        <f t="shared" si="4"/>
        <v>0</v>
      </c>
      <c r="E26" s="20" t="s">
        <v>38</v>
      </c>
    </row>
    <row r="27" ht="28" customHeight="1" spans="1:5">
      <c r="A27" s="21" t="s">
        <v>39</v>
      </c>
      <c r="B27" s="10">
        <v>4059931</v>
      </c>
      <c r="C27" s="10">
        <f t="shared" si="3"/>
        <v>4059931</v>
      </c>
      <c r="D27" s="14">
        <f t="shared" si="4"/>
        <v>0</v>
      </c>
      <c r="E27" s="20" t="s">
        <v>40</v>
      </c>
    </row>
    <row r="28" ht="20" customHeight="1" spans="1:5">
      <c r="A28" s="9" t="s">
        <v>21</v>
      </c>
      <c r="B28" s="10">
        <f>B29+B30+B31+B34+B32+B35+B36+B33</f>
        <v>15634855.71</v>
      </c>
      <c r="C28" s="22">
        <f>C29+C30+C31+C34+C32+C35+C36+C33</f>
        <v>6710927.4656</v>
      </c>
      <c r="D28" s="22">
        <f t="shared" si="4"/>
        <v>-8923928.2444</v>
      </c>
      <c r="E28" s="23"/>
    </row>
    <row r="29" ht="20" customHeight="1" spans="1:5">
      <c r="A29" s="24" t="s">
        <v>41</v>
      </c>
      <c r="B29" s="25">
        <v>4901500</v>
      </c>
      <c r="C29" s="25">
        <v>0</v>
      </c>
      <c r="D29" s="10">
        <f t="shared" si="4"/>
        <v>-4901500</v>
      </c>
      <c r="E29" s="26" t="s">
        <v>42</v>
      </c>
    </row>
    <row r="30" ht="20" customHeight="1" spans="1:5">
      <c r="A30" s="24" t="s">
        <v>43</v>
      </c>
      <c r="B30" s="25">
        <v>2050000</v>
      </c>
      <c r="C30" s="25">
        <v>0</v>
      </c>
      <c r="D30" s="10">
        <f t="shared" si="4"/>
        <v>-2050000</v>
      </c>
      <c r="E30" s="27"/>
    </row>
    <row r="31" ht="20" customHeight="1" spans="1:5">
      <c r="A31" s="24" t="s">
        <v>44</v>
      </c>
      <c r="B31" s="25">
        <v>300000</v>
      </c>
      <c r="C31" s="25">
        <v>0</v>
      </c>
      <c r="D31" s="10">
        <f t="shared" si="4"/>
        <v>-300000</v>
      </c>
      <c r="E31" s="27"/>
    </row>
    <row r="32" ht="20" customHeight="1" spans="1:5">
      <c r="A32" s="24" t="s">
        <v>45</v>
      </c>
      <c r="B32" s="25">
        <v>1456000</v>
      </c>
      <c r="C32" s="25">
        <v>1456000</v>
      </c>
      <c r="D32" s="10">
        <f t="shared" si="4"/>
        <v>0</v>
      </c>
      <c r="E32" s="27"/>
    </row>
    <row r="33" ht="20" customHeight="1" spans="1:5">
      <c r="A33" s="17" t="s">
        <v>46</v>
      </c>
      <c r="B33" s="10">
        <v>1779400</v>
      </c>
      <c r="C33" s="10">
        <v>1779400</v>
      </c>
      <c r="D33" s="28">
        <f t="shared" si="4"/>
        <v>0</v>
      </c>
      <c r="E33" s="29"/>
    </row>
    <row r="34" ht="31" customHeight="1" spans="1:5">
      <c r="A34" s="30" t="s">
        <v>47</v>
      </c>
      <c r="B34" s="31">
        <v>2499255.71</v>
      </c>
      <c r="C34" s="31">
        <f>C24*0.96/25</f>
        <v>2499255.7056</v>
      </c>
      <c r="D34" s="22">
        <f t="shared" si="4"/>
        <v>-0.00439999997615814</v>
      </c>
      <c r="E34" s="23" t="s">
        <v>48</v>
      </c>
    </row>
    <row r="35" ht="27" customHeight="1" spans="1:5">
      <c r="A35" s="24" t="s">
        <v>49</v>
      </c>
      <c r="B35" s="10">
        <v>1028800</v>
      </c>
      <c r="C35" s="10">
        <f>C24*0.015</f>
        <v>976271.76</v>
      </c>
      <c r="D35" s="10">
        <f t="shared" si="4"/>
        <v>-52528.24</v>
      </c>
      <c r="E35" s="17" t="s">
        <v>30</v>
      </c>
    </row>
    <row r="36" ht="20" customHeight="1" spans="1:5">
      <c r="A36" s="24" t="s">
        <v>50</v>
      </c>
      <c r="B36" s="10">
        <v>1619900</v>
      </c>
      <c r="C36" s="10">
        <v>0</v>
      </c>
      <c r="D36" s="10">
        <f t="shared" si="4"/>
        <v>-1619900</v>
      </c>
      <c r="E36" s="9"/>
    </row>
    <row r="37" ht="20" customHeight="1" spans="1:5">
      <c r="A37" s="13" t="s">
        <v>31</v>
      </c>
      <c r="B37" s="15">
        <f>B28/329940612</f>
        <v>0.0473868785513437</v>
      </c>
      <c r="C37" s="15">
        <f>C28/329940612</f>
        <v>0.0203398042602891</v>
      </c>
      <c r="D37" s="15">
        <f>D28/329940612</f>
        <v>-0.0270470742910545</v>
      </c>
      <c r="E37" s="9" t="s">
        <v>32</v>
      </c>
    </row>
    <row r="38" ht="20" customHeight="1" spans="1:5">
      <c r="A38" s="9" t="s">
        <v>51</v>
      </c>
      <c r="B38" s="15">
        <f>B16+B28</f>
        <v>111776148.44</v>
      </c>
      <c r="C38" s="15">
        <f>C16+C28</f>
        <v>79507100.9656</v>
      </c>
      <c r="D38" s="15">
        <f>D16+D28</f>
        <v>-32269047.4744</v>
      </c>
      <c r="E38" s="9"/>
    </row>
    <row r="39" ht="20" customHeight="1" spans="1:5">
      <c r="A39" s="9" t="s">
        <v>52</v>
      </c>
      <c r="B39" s="15">
        <f>B22+B37</f>
        <v>0.338776568796569</v>
      </c>
      <c r="C39" s="15">
        <f>C22+C37</f>
        <v>0.240973975539574</v>
      </c>
      <c r="D39" s="15">
        <f>D22+D37</f>
        <v>-0.097802593256995</v>
      </c>
      <c r="E39" s="9" t="s">
        <v>32</v>
      </c>
    </row>
  </sheetData>
  <mergeCells count="2">
    <mergeCell ref="A1:E1"/>
    <mergeCell ref="E29:E33"/>
  </mergeCells>
  <pageMargins left="0.75" right="0.75" top="0.471527777777778" bottom="0.432638888888889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新增成本核定表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ZLS</dc:creator>
  <cp:lastModifiedBy>AutoBVT</cp:lastModifiedBy>
  <dcterms:created xsi:type="dcterms:W3CDTF">2016-07-22T02:39:00Z</dcterms:created>
  <cp:lastPrinted>2016-10-26T03:46:00Z</cp:lastPrinted>
  <dcterms:modified xsi:type="dcterms:W3CDTF">2016-11-02T08:12:58Z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